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8_{08D5E72A-EA8A-47E2-BEA3-3D9453F0E79C}" xr6:coauthVersionLast="47" xr6:coauthVersionMax="47" xr10:uidLastSave="{00000000-0000-0000-0000-000000000000}"/>
  <bookViews>
    <workbookView xWindow="-120" yWindow="-120" windowWidth="29040" windowHeight="15720" xr2:uid="{A05930A4-54E3-4604-9500-D8AB2624D4A8}"/>
  </bookViews>
  <sheets>
    <sheet name="Sheet1" sheetId="1" r:id="rId1"/>
  </sheets>
  <definedNames>
    <definedName name="alpha">Sheet1!$D$7</definedName>
    <definedName name="hilim">Sheet1!$D$5</definedName>
    <definedName name="hilimfac">Sheet1!$D$4</definedName>
    <definedName name="initweight">Sheet1!$D$2</definedName>
    <definedName name="lolim">Sheet1!$D$6</definedName>
    <definedName name="N">Sheet1!$D$3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1" l="1"/>
  <c r="O16" i="1"/>
  <c r="J16" i="1"/>
  <c r="AG13" i="1"/>
  <c r="W13" i="1"/>
  <c r="AG11" i="1"/>
  <c r="W11" i="1"/>
  <c r="AG9" i="1"/>
  <c r="W9" i="1"/>
  <c r="D5" i="1"/>
  <c r="F10" i="1" s="1"/>
  <c r="F13" i="1" l="1"/>
  <c r="F14" i="1"/>
  <c r="F11" i="1"/>
  <c r="F9" i="1"/>
  <c r="F12" i="1"/>
  <c r="G9" i="1" l="1"/>
  <c r="G10" i="1"/>
  <c r="G11" i="1"/>
  <c r="G12" i="1"/>
  <c r="G14" i="1"/>
  <c r="G13" i="1"/>
  <c r="H14" i="1" l="1"/>
  <c r="I14" i="1" s="1"/>
  <c r="H13" i="1"/>
  <c r="I13" i="1" s="1"/>
  <c r="H9" i="1"/>
  <c r="I9" i="1" s="1"/>
  <c r="H10" i="1"/>
  <c r="I10" i="1" s="1"/>
  <c r="H12" i="1"/>
  <c r="I12" i="1" s="1"/>
  <c r="H11" i="1"/>
  <c r="I11" i="1" s="1"/>
  <c r="M11" i="1" l="1"/>
  <c r="M12" i="1" s="1"/>
  <c r="J11" i="1"/>
  <c r="K11" i="1" s="1"/>
  <c r="N12" i="1"/>
  <c r="M9" i="1"/>
  <c r="M10" i="1" s="1"/>
  <c r="J9" i="1"/>
  <c r="N9" i="1"/>
  <c r="N10" i="1"/>
  <c r="M13" i="1"/>
  <c r="M14" i="1" s="1"/>
  <c r="J13" i="1"/>
  <c r="K13" i="1" s="1"/>
  <c r="N14" i="1"/>
  <c r="K9" i="1" l="1"/>
  <c r="L9" i="1" s="1"/>
  <c r="J15" i="1"/>
  <c r="N13" i="1"/>
  <c r="N11" i="1"/>
  <c r="O11" i="1" l="1"/>
  <c r="P11" i="1" s="1"/>
  <c r="X11" i="1"/>
  <c r="Y11" i="1" s="1"/>
  <c r="Z11" i="1" s="1"/>
  <c r="AA11" i="1" s="1"/>
  <c r="X13" i="1"/>
  <c r="Y13" i="1" s="1"/>
  <c r="Z13" i="1" s="1"/>
  <c r="AA13" i="1" s="1"/>
  <c r="O13" i="1"/>
  <c r="P13" i="1" s="1"/>
  <c r="O9" i="1"/>
  <c r="X9" i="1"/>
  <c r="Y9" i="1" s="1"/>
  <c r="Z9" i="1" s="1"/>
  <c r="AA9" i="1" s="1"/>
  <c r="AB9" i="1" l="1"/>
  <c r="D7" i="1" s="1"/>
  <c r="O15" i="1"/>
  <c r="P9" i="1"/>
  <c r="Q9" i="1" s="1"/>
  <c r="R14" i="1" l="1"/>
  <c r="R12" i="1"/>
  <c r="R9" i="1"/>
  <c r="R10" i="1"/>
  <c r="R13" i="1"/>
  <c r="S13" i="1" s="1"/>
  <c r="T13" i="1" s="1"/>
  <c r="R11" i="1"/>
  <c r="S11" i="1" s="1"/>
  <c r="T11" i="1" s="1"/>
  <c r="S9" i="1" l="1"/>
  <c r="S15" i="1" l="1"/>
  <c r="T9" i="1"/>
  <c r="U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tc={10454917-36FB-4802-B91C-801B91FCB68B}</author>
    <author>tc={E2542E43-87EC-417E-AC75-91241CCECC57}</author>
    <author>Peter Menegay</author>
  </authors>
  <commentList>
    <comment ref="F8" authorId="0" shapeId="0" xr:uid="{10454917-36FB-4802-B91C-801B91FCB68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any one delegation is over the hilim we cut it down
</t>
      </text>
    </comment>
    <comment ref="H8" authorId="1" shapeId="0" xr:uid="{E2542E43-87EC-417E-AC75-91241CCECC57}">
      <text>
        <t>[Threaded comment]
Your version of Excel allows you to read this threaded comment; however, any edits to it will get removed if the file is opened in a newer version of Excel. Learn more: https://go.microsoft.com/fwlink/?linkid=870924
Comment:
    Factor which gets total delegation within hilim bounds</t>
      </text>
    </comment>
    <comment ref="I8" authorId="2" shapeId="0" xr:uid="{6D2CE915-F925-468F-85B9-F85B24958E96}">
      <text>
        <r>
          <rPr>
            <b/>
            <sz val="9"/>
            <color indexed="81"/>
            <rFont val="Tahoma"/>
            <family val="2"/>
          </rPr>
          <t>Peter Menegay:</t>
        </r>
        <r>
          <rPr>
            <sz val="9"/>
            <color indexed="81"/>
            <rFont val="Tahoma"/>
            <family val="2"/>
          </rPr>
          <t xml:space="preserve">
D corrected by factor</t>
        </r>
      </text>
    </comment>
    <comment ref="M8" authorId="2" shapeId="0" xr:uid="{E3EFD573-255B-4510-8B2B-131837470532}">
      <text>
        <r>
          <rPr>
            <b/>
            <sz val="9"/>
            <color indexed="81"/>
            <rFont val="Tahoma"/>
            <family val="2"/>
          </rPr>
          <t>Peter Menegay:</t>
        </r>
        <r>
          <rPr>
            <sz val="9"/>
            <color indexed="81"/>
            <rFont val="Tahoma"/>
            <family val="2"/>
          </rPr>
          <t xml:space="preserve">
Built-in penalty for exceeding initweight</t>
        </r>
      </text>
    </comment>
    <comment ref="R8" authorId="2" shapeId="0" xr:uid="{E965E4BE-C34F-43F4-86CC-16BA82E9EE17}">
      <text>
        <r>
          <rPr>
            <b/>
            <sz val="9"/>
            <color indexed="81"/>
            <rFont val="Tahoma"/>
            <family val="2"/>
          </rPr>
          <t>Peter Menegay:</t>
        </r>
        <r>
          <rPr>
            <sz val="9"/>
            <color indexed="81"/>
            <rFont val="Tahoma"/>
            <family val="2"/>
          </rPr>
          <t xml:space="preserve">
Multiply by alpha to make all weights equal/over lolim.</t>
        </r>
      </text>
    </comment>
  </commentList>
</comments>
</file>

<file path=xl/sharedStrings.xml><?xml version="1.0" encoding="utf-8"?>
<sst xmlns="http://schemas.openxmlformats.org/spreadsheetml/2006/main" count="64" uniqueCount="52">
  <si>
    <t>Flexible weighted delegation algorithm (Brainstorming_68)</t>
  </si>
  <si>
    <t>initweight</t>
  </si>
  <si>
    <t>N</t>
  </si>
  <si>
    <t>hilimfac</t>
  </si>
  <si>
    <t>some factor less than 1</t>
  </si>
  <si>
    <t>Deleg</t>
  </si>
  <si>
    <t>hilim</t>
  </si>
  <si>
    <t>Max amt that any one delegation can be (equals population size when hilimfac=1)</t>
  </si>
  <si>
    <t>alpha calculation</t>
  </si>
  <si>
    <t>alpha is min of *positive* alphasreqs</t>
  </si>
  <si>
    <t>Weight</t>
  </si>
  <si>
    <t>lolim</t>
  </si>
  <si>
    <t>must be between 0 and initweight</t>
  </si>
  <si>
    <t>initweight+alpha*(-ABS(m8)-ABS(m9)+m10+m12)=lolim</t>
  </si>
  <si>
    <t>alpha</t>
  </si>
  <si>
    <t>Dcorr1</t>
  </si>
  <si>
    <t>Dcorr2</t>
  </si>
  <si>
    <t>Dcorr2*BIP</t>
  </si>
  <si>
    <t>FINAL DEL</t>
  </si>
  <si>
    <t>alpha=(lolim-initweight)/(-ABS(m8)-ABS(m9)+m10+m12)</t>
  </si>
  <si>
    <t>D</t>
  </si>
  <si>
    <t>hilimcorr</t>
  </si>
  <si>
    <t>SumD</t>
  </si>
  <si>
    <t>factor</t>
  </si>
  <si>
    <t>hilimcorr2</t>
  </si>
  <si>
    <t>Weights1</t>
  </si>
  <si>
    <t>lolim viol?</t>
  </si>
  <si>
    <t>lolimviol</t>
  </si>
  <si>
    <t>BIP</t>
  </si>
  <si>
    <t>Dcorr3</t>
  </si>
  <si>
    <t>Weights2</t>
  </si>
  <si>
    <t>Dcorr4</t>
  </si>
  <si>
    <t>Weights3</t>
  </si>
  <si>
    <t>numer</t>
  </si>
  <si>
    <t>denom</t>
  </si>
  <si>
    <t>prevdiv0</t>
  </si>
  <si>
    <t>alphareq</t>
  </si>
  <si>
    <t>throwoutneg</t>
  </si>
  <si>
    <t>Weights</t>
  </si>
  <si>
    <t>A proxies to</t>
  </si>
  <si>
    <t>B</t>
  </si>
  <si>
    <t>C</t>
  </si>
  <si>
    <t>B proxies to</t>
  </si>
  <si>
    <t>A</t>
  </si>
  <si>
    <t>C proxies to</t>
  </si>
  <si>
    <t>The hilim is the total population or some alpha*totalpopulation</t>
  </si>
  <si>
    <t>If anyone goes above the hilim for a single delegation, just reduce it to the limit.</t>
  </si>
  <si>
    <t>If anyone's total delegation is higher than hilim, then we factor it down to the hilim.</t>
  </si>
  <si>
    <t>If anyone's total delegation is higher than the initweight (ie 1), then we use BIP to factor it down to initweight</t>
  </si>
  <si>
    <t>Now that everyone is within the initweight, we see if the weight results are higher than the lolim.</t>
  </si>
  <si>
    <t>If one or more is not, we solve for the factor which, when multiplied by ALL delegations, makes it so.</t>
  </si>
  <si>
    <t>DONE.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</si>
</sst>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ter Menegay" id="{DEBDA511-BE63-4D85-BE46-9B912D81A961}" userId="365c976700d62e9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" dT="2025-07-25T16:45:36.19" personId="{DEBDA511-BE63-4D85-BE46-9B912D81A961}" id="{10454917-36FB-4802-B91C-801B91FCB68B}">
    <text xml:space="preserve">If any one delegation is over the hilim we cut it down
</text>
  </threadedComment>
  <threadedComment ref="H8" dT="2025-07-25T16:46:36.08" personId="{DEBDA511-BE63-4D85-BE46-9B912D81A961}" id="{E2542E43-87EC-417E-AC75-91241CCECC57}">
    <text>Factor which gets total delegation within hilim bounds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67B5-9130-4D7C-B2F8-2C04AE1267F6}">
  <dimension ref="A1:AG30"/>
  <sheetViews>
    <sheetView tabSelected="1" workbookViewId="0">
      <selection activeCell="J18" sqref="J18"/>
    </sheetView>
  </sheetViews>
  <sheetFormatPr defaultRowHeight="15" x14ac:dyDescent="0.25"/>
  <cols>
    <col min="3" max="3" width="10.42578125" customWidth="1"/>
    <col min="4" max="4" width="12" bestFit="1" customWidth="1"/>
    <col min="8" max="10" width="12" bestFit="1" customWidth="1"/>
    <col min="13" max="13" width="12" bestFit="1" customWidth="1"/>
    <col min="14" max="18" width="12" customWidth="1"/>
    <col min="26" max="26" width="12.7109375" bestFit="1" customWidth="1"/>
    <col min="27" max="27" width="12.7109375" customWidth="1"/>
    <col min="28" max="28" width="12" bestFit="1" customWidth="1"/>
  </cols>
  <sheetData>
    <row r="1" spans="1:33" x14ac:dyDescent="0.25">
      <c r="C1" t="s">
        <v>0</v>
      </c>
    </row>
    <row r="2" spans="1:33" x14ac:dyDescent="0.25">
      <c r="C2" t="s">
        <v>1</v>
      </c>
      <c r="D2">
        <v>1</v>
      </c>
    </row>
    <row r="3" spans="1:33" x14ac:dyDescent="0.25">
      <c r="C3" t="s">
        <v>2</v>
      </c>
      <c r="D3">
        <v>3</v>
      </c>
    </row>
    <row r="4" spans="1:33" x14ac:dyDescent="0.25">
      <c r="C4" t="s">
        <v>3</v>
      </c>
      <c r="D4">
        <v>1</v>
      </c>
      <c r="E4" t="s">
        <v>4</v>
      </c>
    </row>
    <row r="5" spans="1:33" x14ac:dyDescent="0.25">
      <c r="B5" t="s">
        <v>5</v>
      </c>
      <c r="C5" t="s">
        <v>6</v>
      </c>
      <c r="D5" s="1">
        <f>N*hilimfac*initweight</f>
        <v>3</v>
      </c>
      <c r="E5" t="s">
        <v>7</v>
      </c>
      <c r="W5" t="s">
        <v>8</v>
      </c>
      <c r="AB5" t="s">
        <v>9</v>
      </c>
    </row>
    <row r="6" spans="1:33" x14ac:dyDescent="0.25">
      <c r="B6" t="s">
        <v>10</v>
      </c>
      <c r="C6" t="s">
        <v>11</v>
      </c>
      <c r="D6">
        <v>0.5</v>
      </c>
      <c r="E6" t="s">
        <v>12</v>
      </c>
      <c r="W6" s="2" t="s">
        <v>13</v>
      </c>
    </row>
    <row r="7" spans="1:33" x14ac:dyDescent="0.25">
      <c r="A7">
        <v>0.68181800000000004</v>
      </c>
      <c r="C7" t="s">
        <v>14</v>
      </c>
      <c r="D7" s="1">
        <f>AB9</f>
        <v>0.58333333333333337</v>
      </c>
      <c r="F7" t="s">
        <v>15</v>
      </c>
      <c r="I7" t="s">
        <v>16</v>
      </c>
      <c r="N7" t="s">
        <v>17</v>
      </c>
      <c r="R7" t="s">
        <v>18</v>
      </c>
      <c r="W7" s="2" t="s">
        <v>19</v>
      </c>
    </row>
    <row r="8" spans="1:33" x14ac:dyDescent="0.25">
      <c r="E8" t="s">
        <v>20</v>
      </c>
      <c r="F8" t="s">
        <v>21</v>
      </c>
      <c r="G8" t="s">
        <v>22</v>
      </c>
      <c r="H8" t="s">
        <v>23</v>
      </c>
      <c r="I8" t="s">
        <v>24</v>
      </c>
      <c r="J8" t="s">
        <v>25</v>
      </c>
      <c r="K8" t="s">
        <v>26</v>
      </c>
      <c r="L8" t="s">
        <v>27</v>
      </c>
      <c r="M8" t="s">
        <v>28</v>
      </c>
      <c r="N8" t="s">
        <v>29</v>
      </c>
      <c r="O8" t="s">
        <v>30</v>
      </c>
      <c r="P8" t="s">
        <v>26</v>
      </c>
      <c r="Q8" t="s">
        <v>27</v>
      </c>
      <c r="R8" t="s">
        <v>31</v>
      </c>
      <c r="S8" t="s">
        <v>32</v>
      </c>
      <c r="T8" t="s">
        <v>26</v>
      </c>
      <c r="U8" t="s">
        <v>27</v>
      </c>
      <c r="W8" t="s">
        <v>33</v>
      </c>
      <c r="X8" t="s">
        <v>34</v>
      </c>
      <c r="Y8" t="s">
        <v>35</v>
      </c>
      <c r="Z8" t="s">
        <v>36</v>
      </c>
      <c r="AA8" t="s">
        <v>37</v>
      </c>
      <c r="AB8" t="s">
        <v>14</v>
      </c>
      <c r="AG8" t="s">
        <v>38</v>
      </c>
    </row>
    <row r="9" spans="1:33" x14ac:dyDescent="0.25">
      <c r="C9" t="s">
        <v>39</v>
      </c>
      <c r="D9" t="s">
        <v>40</v>
      </c>
      <c r="E9">
        <v>4</v>
      </c>
      <c r="F9">
        <f>IF(ABS(E9)&gt;hilim,SIGN(E9)*hilim,E9)</f>
        <v>3</v>
      </c>
      <c r="G9">
        <f>ABS(F9)+ABS(F10)</f>
        <v>3.5</v>
      </c>
      <c r="H9">
        <f>IF(G9=0,0,IF((hilim/G9)&lt;1,hilim/G9,1))</f>
        <v>0.8571428571428571</v>
      </c>
      <c r="I9">
        <f>F9*H9</f>
        <v>2.5714285714285712</v>
      </c>
      <c r="J9">
        <f>initweight-ABS(I9)-ABS(I10)+I11+I13</f>
        <v>-0.19999999999999973</v>
      </c>
      <c r="K9">
        <f>IF(J9&lt;lolim,1,0)</f>
        <v>1</v>
      </c>
      <c r="L9">
        <f>IF(SUM(K9,K11,K13)&gt;0,1,0)</f>
        <v>1</v>
      </c>
      <c r="M9">
        <f>IF((ABS(I9)+ABS(I10))&gt;initweight, initweight/(ABS(I9)+ABS(I10)), 1)</f>
        <v>0.33333333333333337</v>
      </c>
      <c r="N9">
        <f>I9*M9</f>
        <v>0.85714285714285721</v>
      </c>
      <c r="O9">
        <f>initweight-ABS(N9)-ABS(N10)+N11+N13</f>
        <v>1.7999999999999998</v>
      </c>
      <c r="P9">
        <f>IF(O9&lt;lolim,1,0)</f>
        <v>0</v>
      </c>
      <c r="Q9">
        <f>IF(SUM(P9,P11,P13)&gt;0,1,0)</f>
        <v>1</v>
      </c>
      <c r="R9">
        <f>N9*alpha</f>
        <v>0.50000000000000011</v>
      </c>
      <c r="S9">
        <f>initweight-ABS(R9)-ABS(R10)+R11+R13</f>
        <v>1.4666666666666666</v>
      </c>
      <c r="T9">
        <f>IF(S9&lt;lolim,1,0)</f>
        <v>0</v>
      </c>
      <c r="U9">
        <f>IF(SUM(T9,T11,T13)&gt;0,1,0)</f>
        <v>0</v>
      </c>
      <c r="W9">
        <f>lolim-initweight</f>
        <v>-0.5</v>
      </c>
      <c r="X9">
        <f>(-ABS(N9)-ABS(N10)+N11+N13)</f>
        <v>0.8</v>
      </c>
      <c r="Y9">
        <f>IF(X9=0,0.00001,X9)</f>
        <v>0.8</v>
      </c>
      <c r="Z9">
        <f>(lolim-initweight)/Y9</f>
        <v>-0.625</v>
      </c>
      <c r="AA9">
        <f>IF(Z9&lt;0,10,Z9)</f>
        <v>10</v>
      </c>
      <c r="AB9">
        <f>MIN(AA9,AA11,AA13)</f>
        <v>0.58333333333333337</v>
      </c>
      <c r="AG9" s="1">
        <f>initweight-ABS(E9)-ABS(E10)+E11+E13</f>
        <v>-1.7</v>
      </c>
    </row>
    <row r="10" spans="1:33" x14ac:dyDescent="0.25">
      <c r="D10" t="s">
        <v>41</v>
      </c>
      <c r="E10">
        <v>0.5</v>
      </c>
      <c r="F10">
        <f>IF(ABS(E10)&gt;hilim,SIGN(E10)*hilim,E10)</f>
        <v>0.5</v>
      </c>
      <c r="G10">
        <f>ABS(F9)+ABS(F10)</f>
        <v>3.5</v>
      </c>
      <c r="H10">
        <f>IF(G9=0,0,IF((hilim/G9)&lt;1,hilim/G9,1))</f>
        <v>0.8571428571428571</v>
      </c>
      <c r="I10">
        <f>F10*H10</f>
        <v>0.42857142857142855</v>
      </c>
      <c r="M10">
        <f>M9</f>
        <v>0.33333333333333337</v>
      </c>
      <c r="N10">
        <f t="shared" ref="N10:N14" si="0">I10*M10</f>
        <v>0.14285714285714288</v>
      </c>
      <c r="R10">
        <f>N10*alpha</f>
        <v>8.3333333333333356E-2</v>
      </c>
    </row>
    <row r="11" spans="1:33" x14ac:dyDescent="0.25">
      <c r="C11" t="s">
        <v>42</v>
      </c>
      <c r="D11" t="s">
        <v>43</v>
      </c>
      <c r="E11">
        <v>1</v>
      </c>
      <c r="F11">
        <f>IF(ABS(E11)&gt;hilim,SIGN(E11)*hilim,E11)</f>
        <v>1</v>
      </c>
      <c r="G11">
        <f>ABS(F11)+ABS(F12)</f>
        <v>1</v>
      </c>
      <c r="H11">
        <f>IF(G11=0,0,IF((hilim/G11)&lt;1,hilim/G11,1))</f>
        <v>1</v>
      </c>
      <c r="I11">
        <f>F11*H11</f>
        <v>1</v>
      </c>
      <c r="J11">
        <f>initweight-ABS(I11)-ABS(I12)+I9+I14</f>
        <v>2.371428571428571</v>
      </c>
      <c r="K11">
        <f>IF(J11&lt;lolim,1,0)</f>
        <v>0</v>
      </c>
      <c r="M11">
        <f>IF((ABS(I11)+ABS(I12))&gt;initweight, initweight/(ABS(I11)+ABS(I12)), 1)</f>
        <v>1</v>
      </c>
      <c r="N11">
        <f t="shared" si="0"/>
        <v>1</v>
      </c>
      <c r="O11">
        <f>initweight-ABS(N11)-ABS(N12)+N9+N14</f>
        <v>0.65714285714285725</v>
      </c>
      <c r="P11">
        <f>IF(O11&lt;lolim,1,0)</f>
        <v>0</v>
      </c>
      <c r="R11">
        <f>N11*alpha</f>
        <v>0.58333333333333337</v>
      </c>
      <c r="S11">
        <f>initweight-ABS(R11)-ABS(R12)+R9+R14</f>
        <v>0.8</v>
      </c>
      <c r="T11">
        <f>IF(S11&lt;lolim,1,0)</f>
        <v>0</v>
      </c>
      <c r="W11">
        <f>lolim-initweight</f>
        <v>-0.5</v>
      </c>
      <c r="X11">
        <f>(-ABS(N11)-ABS(N12)+N9+N14)</f>
        <v>-0.3428571428571428</v>
      </c>
      <c r="Y11">
        <f>IF(X11=0,0.00001,X11)</f>
        <v>-0.3428571428571428</v>
      </c>
      <c r="Z11">
        <f>(lolim-initweight)/Y11</f>
        <v>1.4583333333333335</v>
      </c>
      <c r="AA11">
        <f>IF(Z11&lt;0,10,Z11)</f>
        <v>1.4583333333333335</v>
      </c>
      <c r="AG11" s="1">
        <f>initweight-ABS(E11)-ABS(E12)+E9+E14</f>
        <v>3.8</v>
      </c>
    </row>
    <row r="12" spans="1:33" x14ac:dyDescent="0.25">
      <c r="D12" t="s">
        <v>41</v>
      </c>
      <c r="E12">
        <v>0</v>
      </c>
      <c r="F12">
        <f>IF(ABS(E12)&gt;hilim,SIGN(E12)*hilim,E12)</f>
        <v>0</v>
      </c>
      <c r="G12">
        <f>ABS(F11)+ABS(F12)</f>
        <v>1</v>
      </c>
      <c r="H12">
        <f>IF(G11=0,0,IF((hilim/G11)&lt;1,hilim/G11,1))</f>
        <v>1</v>
      </c>
      <c r="I12">
        <f>F12*H12</f>
        <v>0</v>
      </c>
      <c r="M12">
        <f>M11</f>
        <v>1</v>
      </c>
      <c r="N12">
        <f t="shared" si="0"/>
        <v>0</v>
      </c>
      <c r="R12">
        <f>N12*alpha</f>
        <v>0</v>
      </c>
    </row>
    <row r="13" spans="1:33" x14ac:dyDescent="0.25">
      <c r="C13" t="s">
        <v>44</v>
      </c>
      <c r="D13" t="s">
        <v>43</v>
      </c>
      <c r="E13">
        <v>0.8</v>
      </c>
      <c r="F13">
        <f>IF(ABS(E13)&gt;hilim,SIGN(E13)*hilim,E13)</f>
        <v>0.8</v>
      </c>
      <c r="G13">
        <f>ABS(F13)+ABS(F14)</f>
        <v>1</v>
      </c>
      <c r="H13">
        <f>IF(G13=0,0,IF((hilim/G13)&lt;1,hilim/G13,1))</f>
        <v>1</v>
      </c>
      <c r="I13">
        <f>F13*H13</f>
        <v>0.8</v>
      </c>
      <c r="J13">
        <f>initweight-ABS(I13)-ABS(I14)+I10+I12</f>
        <v>0.42857142857142849</v>
      </c>
      <c r="K13">
        <f>IF(J13&lt;lolim,1,0)</f>
        <v>1</v>
      </c>
      <c r="M13">
        <f>IF((ABS(I13)+ABS(I14))&gt;initweight, initweight/(ABS(I13)+ABS(I14)), 1)</f>
        <v>1</v>
      </c>
      <c r="N13">
        <f t="shared" si="0"/>
        <v>0.8</v>
      </c>
      <c r="O13">
        <f>initweight-ABS(N13)-ABS(N14)+N10+N12</f>
        <v>0.14285714285714282</v>
      </c>
      <c r="P13">
        <f>IF(O13&lt;lolim,1,0)</f>
        <v>1</v>
      </c>
      <c r="R13">
        <f>N13*alpha</f>
        <v>0.46666666666666673</v>
      </c>
      <c r="S13">
        <f>initweight-ABS(R13)-ABS(R14)+R10+R12</f>
        <v>0.49999999999999989</v>
      </c>
      <c r="T13">
        <f>IF(S13&lt;lolim,1,0)</f>
        <v>0</v>
      </c>
      <c r="W13">
        <f>lolim-initweight</f>
        <v>-0.5</v>
      </c>
      <c r="X13">
        <f>(-ABS(N13)-ABS(N14)+N10+N12)</f>
        <v>-0.8571428571428571</v>
      </c>
      <c r="Y13">
        <f>IF(X13=0,0.00001,X13)</f>
        <v>-0.8571428571428571</v>
      </c>
      <c r="Z13">
        <f>(lolim-initweight)/Y13</f>
        <v>0.58333333333333337</v>
      </c>
      <c r="AA13">
        <f>IF(Z13&lt;0,10,Z13)</f>
        <v>0.58333333333333337</v>
      </c>
      <c r="AG13" s="1">
        <f>initweight-ABS(E13)-ABS(E14)+E10+E12</f>
        <v>0.49999999999999994</v>
      </c>
    </row>
    <row r="14" spans="1:33" x14ac:dyDescent="0.25">
      <c r="D14" t="s">
        <v>40</v>
      </c>
      <c r="E14">
        <v>-0.2</v>
      </c>
      <c r="F14">
        <f>IF(ABS(E14)&gt;hilim,SIGN(E14)*hilim,E14)</f>
        <v>-0.2</v>
      </c>
      <c r="G14">
        <f>ABS(F13)+ABS(F14)</f>
        <v>1</v>
      </c>
      <c r="H14">
        <f>IF(G13=0,0,IF((hilim/G13)&lt;1,hilim/G13,1))</f>
        <v>1</v>
      </c>
      <c r="I14">
        <f>F14*H14</f>
        <v>-0.2</v>
      </c>
      <c r="M14">
        <f>M13</f>
        <v>1</v>
      </c>
      <c r="N14">
        <f t="shared" si="0"/>
        <v>-0.2</v>
      </c>
      <c r="R14">
        <f>N14*alpha</f>
        <v>-0.11666666666666668</v>
      </c>
    </row>
    <row r="15" spans="1:33" x14ac:dyDescent="0.25">
      <c r="J15">
        <f>SUM(J9,J11,J13)</f>
        <v>2.5999999999999996</v>
      </c>
      <c r="O15">
        <f>SUM(O9,O11,O13)</f>
        <v>2.6</v>
      </c>
      <c r="S15">
        <f>SUM(S9,S11,S13)</f>
        <v>2.7666666666666666</v>
      </c>
    </row>
    <row r="16" spans="1:33" x14ac:dyDescent="0.25">
      <c r="J16">
        <f>N-2*0.75</f>
        <v>1.5</v>
      </c>
      <c r="O16">
        <f>N-2*0.5</f>
        <v>2</v>
      </c>
      <c r="S16">
        <f>N-2*0.21698</f>
        <v>2.5660400000000001</v>
      </c>
    </row>
    <row r="18" spans="2:3" x14ac:dyDescent="0.25">
      <c r="C18" t="s">
        <v>45</v>
      </c>
    </row>
    <row r="20" spans="2:3" x14ac:dyDescent="0.25">
      <c r="B20" t="s">
        <v>15</v>
      </c>
      <c r="C20" t="s">
        <v>46</v>
      </c>
    </row>
    <row r="22" spans="2:3" x14ac:dyDescent="0.25">
      <c r="B22" t="s">
        <v>16</v>
      </c>
      <c r="C22" t="s">
        <v>47</v>
      </c>
    </row>
    <row r="24" spans="2:3" x14ac:dyDescent="0.25">
      <c r="B24" t="s">
        <v>29</v>
      </c>
      <c r="C24" t="s">
        <v>48</v>
      </c>
    </row>
    <row r="26" spans="2:3" x14ac:dyDescent="0.25">
      <c r="C26" t="s">
        <v>49</v>
      </c>
    </row>
    <row r="28" spans="2:3" x14ac:dyDescent="0.25">
      <c r="B28" t="s">
        <v>31</v>
      </c>
      <c r="C28" t="s">
        <v>50</v>
      </c>
    </row>
    <row r="30" spans="2:3" x14ac:dyDescent="0.25">
      <c r="C30" t="s">
        <v>51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alpha</vt:lpstr>
      <vt:lpstr>hilim</vt:lpstr>
      <vt:lpstr>hilimfac</vt:lpstr>
      <vt:lpstr>initweight</vt:lpstr>
      <vt:lpstr>lolim</vt:lpstr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2025-07-27T18:34:34Z</dcterms:created>
  <dcterms:modified xsi:type="dcterms:W3CDTF">2025-07-27T18:35:34Z</dcterms:modified>
</cp:coreProperties>
</file>